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<sst xmlns="http://schemas.openxmlformats.org/spreadsheetml/2006/main" count="2443" uniqueCount="314">
  <si>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</si>
  <si>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</si>
  <si>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</si>
  <si>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</si>
  <si>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</si>
  <si>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</si>
  <si>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</si>
  <si>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</si>
  <si>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</si>
  <si>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</si>
  <si>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</si>
  <si>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</si>
  <si>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</si>
  <si>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</si>
  <si>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</si>
  <si>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</si>
  <si>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</si>
  <si>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</si>
  <si>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</si>
  <si>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</si>
  <si>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</si>
  <si>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</si>
  <si>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</si>
  <si>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</si>
  <si>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</si>
  <si>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</si>
  <si>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</si>
  <si>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</si>
  <si>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</si>
  <si>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</si>
  <si>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</si>
  <si>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</si>
  <si>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</si>
  <si>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</si>
  <si>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</si>
  <si>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</si>
  <si>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</si>
  <si>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</si>
  <si>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</si>
  <si>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</si>
  <si>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</si>
  <si>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</si>
  <si>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</si>
  <si>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</si>
  <si>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</si>
  <si>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</si>
  <si>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</si>
  <si>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</si>
  <si>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</si>
  <si>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</si>
  <si>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</si>
  <si>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</si>
  <si>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</si>
  <si>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</si>
  <si>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</si>
  <si>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</si>
  <si>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</si>
  <si>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</si>
  <si>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</si>
  <si>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</si>
  <si>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</si>
  <si>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</si>
  <si>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</si>
  <si>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</si>
  <si>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</si>
  <si>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</si>
  <si>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</si>
  <si>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</si>
  <si>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</si>
  <si>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</si>
  <si>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</si>
  <si>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</si>
  <si>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</si>
  <si>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</si>
  <si>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</si>
  <si>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</si>
  <si>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</si>
  <si>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</si>
  <si>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</si>
  <si>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</si>
  <si>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</si>
  <si>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</si>
  <si>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</si>
  <si>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</si>
  <si>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</si>
  <si>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</si>
  <si>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</si>
  <si>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</si>
  <si>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</si>
  <si>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</si>
  <si>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</si>
  <si>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</si>
  <si>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</si>
  <si>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</si>
  <si>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</si>
  <si>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</si>
  <si>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</si>
  <si>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</si>
  <si>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</si>
  <si>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</si>
  <si>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</si>
  <si>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</si>
  <si>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</si>
  <si>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</si>
  <si>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</si>
  <si>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</si>
  <si>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</si>
  <si>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</si>
  <si>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</si>
  <si>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</si>
  <si>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</si>
  <si>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</si>
  <si>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</si>
  <si>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</si>
  <si>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</si>
  <si>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</si>
  <si>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</si>
  <si>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</si>
  <si>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</si>
  <si>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</si>
  <si>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</si>
  <si>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</si>
  <si>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</si>
  <si>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</si>
  <si>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</si>
  <si>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</si>
  <si>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</si>
  <si>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</si>
  <si>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</si>
  <si>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</si>
  <si>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</si>
  <si>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</si>
  <si>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</si>
  <si>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</si>
  <si>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</si>
  <si>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</si>
  <si>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</si>
  <si>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</si>
  <si>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</si>
  <si>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</si>
  <si>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</si>
  <si>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</si>
  <si>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</si>
  <si>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</si>
  <si>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</si>
  <si>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</si>
  <si>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</si>
  <si>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</si>
  <si>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</si>
  <si>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</si>
  <si>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</si>
  <si>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</si>
  <si>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</si>
  <si>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</si>
  <si>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</si>
  <si>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</si>
  <si>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</si>
  <si>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</si>
  <si>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</si>
  <si>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</si>
  <si>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</si>
  <si>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</si>
  <si>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</si>
  <si>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</si>
  <si>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</si>
  <si>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</si>
  <si>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</si>
  <si>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</si>
  <si>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</si>
  <si>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</si>
  <si>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</si>
  <si>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</si>
  <si>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</si>
  <si>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</si>
  <si>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</si>
  <si>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</si>
  <si>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</si>
  <si>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</si>
  <si>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</si>
  <si>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</si>
  <si>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</si>
  <si>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</si>
  <si>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</si>
  <si>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</si>
  <si>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</si>
  <si>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</si>
  <si>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</si>
  <si>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</si>
  <si>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</si>
  <si>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</si>
  <si>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</si>
  <si>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</si>
  <si>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</si>
  <si>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</si>
  <si>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</si>
  <si>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</si>
  <si>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</si>
  <si>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</si>
  <si>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</si>
  <si>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</si>
  <si>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</si>
  <si>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</si>
  <si>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</si>
  <si>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</si>
  <si>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</si>
  <si>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</si>
  <si>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</si>
  <si>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</si>
  <si>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</si>
  <si>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</si>
  <si>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</si>
  <si>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</si>
  <si>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</si>
  <si>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</si>
  <si>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</si>
  <si>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</si>
  <si>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</si>
  <si>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</si>
  <si>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</si>
  <si>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</si>
  <si>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</si>
  <si>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</si>
  <si>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</si>
  <si>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</si>
  <si>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</si>
  <si>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</si>
  <si>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</si>
  <si>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</si>
  <si>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</si>
  <si>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</si>
  <si>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</si>
  <si>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</si>
  <si>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</si>
  <si>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</si>
  <si>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</si>
  <si>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</si>
  <si>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</si>
  <si>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</si>
  <si>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</si>
  <si>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</si>
  <si>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</si>
  <si>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</si>
  <si>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</si>
  <si>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</si>
  <si>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</si>
  <si>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</si>
  <si>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</si>
  <si>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</si>
  <si>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</si>
  <si>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</si>
  <si>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</si>
  <si>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</si>
  <si>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</si>
  <si>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</si>
  <si>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</si>
  <si>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</si>
  <si>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</si>
  <si>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</si>
  <si>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</si>
  <si>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</si>
  <si>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</si>
  <si>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</si>
  <si>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</si>
  <si>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</si>
  <si>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</si>
  <si>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</si>
  <si>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</si>
  <si>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</si>
  <si>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</si>
  <si>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</si>
  <si>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</si>
  <si>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</si>
  <si>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</si>
  <si>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</si>
  <si>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</si>
  <si>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</si>
  <si>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</si>
  <si>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</si>
  <si>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</si>
  <si>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</si>
  <si>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</si>
  <si>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</si>
  <si>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</si>
  <si>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</si>
  <si>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</si>
  <si>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</si>
  <si>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</si>
  <si>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</si>
  <si>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</si>
  <si>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</si>
  <si>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</si>
  <si>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</si>
  <si>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</si>
  <si>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</si>
  <si>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</si>
  <si>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</si>
  <si>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</si>
  <si>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</si>
  <si>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</si>
  <si>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</si>
  <si>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</si>
  <si>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</si>
  <si>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</si>
  <si>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</si>
  <si>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</si>
  <si>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</si>
  <si>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</si>
  <si>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</si>
  <si>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</si>
  <si>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t>Плата за користування надрами місцевого значення та збір за спеціальне використання лісових ресурсів</t>
  </si>
  <si>
    <t>13010200   13030200</t>
  </si>
  <si>
    <t xml:space="preserve">  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</si>
  <si>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</si>
  <si>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26.12.14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</si>
</sst>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5" borderId="1" xfId="20" applyFont="1" applyFill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0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8" sqref="I14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312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303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300</v>
      </c>
      <c r="H4" s="208" t="s">
        <v>302</v>
      </c>
      <c r="I4" s="204" t="s">
        <v>188</v>
      </c>
      <c r="J4" s="210" t="s">
        <v>189</v>
      </c>
      <c r="K4" s="197" t="s">
        <v>306</v>
      </c>
      <c r="L4" s="198"/>
      <c r="M4" s="218"/>
      <c r="N4" s="202" t="s">
        <v>313</v>
      </c>
      <c r="O4" s="204" t="s">
        <v>136</v>
      </c>
      <c r="P4" s="204" t="s">
        <v>135</v>
      </c>
      <c r="Q4" s="197" t="s">
        <v>305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299</v>
      </c>
      <c r="F5" s="221"/>
      <c r="G5" s="207"/>
      <c r="H5" s="209"/>
      <c r="I5" s="205"/>
      <c r="J5" s="211"/>
      <c r="K5" s="199"/>
      <c r="L5" s="200"/>
      <c r="M5" s="151" t="s">
        <v>304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470813.04000000004</v>
      </c>
      <c r="G8" s="22">
        <f aca="true" t="shared" si="0" ref="G8:G30">F8-E8</f>
        <v>-17663.25999999995</v>
      </c>
      <c r="H8" s="51">
        <f>F8/E8*100</f>
        <v>96.38400880452134</v>
      </c>
      <c r="I8" s="36">
        <f aca="true" t="shared" si="1" ref="I8:I17">F8-D8</f>
        <v>-17663.25999999995</v>
      </c>
      <c r="J8" s="36">
        <f aca="true" t="shared" si="2" ref="J8:J14">F8/D8*100</f>
        <v>96.38400880452134</v>
      </c>
      <c r="K8" s="36">
        <f>F8-466721.4</f>
        <v>4091.640000000014</v>
      </c>
      <c r="L8" s="136">
        <f>F8/466721.4</f>
        <v>1.0087667717829094</v>
      </c>
      <c r="M8" s="22">
        <f>M10+M19+M33+M56+M68+M30</f>
        <v>57218.27000000002</v>
      </c>
      <c r="N8" s="22">
        <f>N10+N19+N33+N56+N68+N30</f>
        <v>42097.98000000001</v>
      </c>
      <c r="O8" s="36">
        <f aca="true" t="shared" si="3" ref="O8:O71">N8-M8</f>
        <v>-15120.290000000008</v>
      </c>
      <c r="P8" s="36">
        <f>F8/M8*100</f>
        <v>822.8369015700752</v>
      </c>
      <c r="Q8" s="36">
        <f>N8-45637.2</f>
        <v>-3539.2199999999866</v>
      </c>
      <c r="R8" s="134">
        <f>N8/45637.2</f>
        <v>0.9224487917751311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385944.46</v>
      </c>
      <c r="G9" s="22">
        <f t="shared" si="0"/>
        <v>385944.46</v>
      </c>
      <c r="H9" s="20"/>
      <c r="I9" s="56">
        <f t="shared" si="1"/>
        <v>-1068.7399999999907</v>
      </c>
      <c r="J9" s="56">
        <f t="shared" si="2"/>
        <v>99.7238492123783</v>
      </c>
      <c r="K9" s="56"/>
      <c r="L9" s="135"/>
      <c r="M9" s="20">
        <f>M10+M17</f>
        <v>35005.20000000001</v>
      </c>
      <c r="N9" s="20">
        <f>N10+N17</f>
        <v>36747.080000000016</v>
      </c>
      <c r="O9" s="36">
        <f t="shared" si="3"/>
        <v>1741.8800000000047</v>
      </c>
      <c r="P9" s="56">
        <f>F9/M9*100</f>
        <v>1102.5346519945606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385944.46</v>
      </c>
      <c r="G10" s="49">
        <f t="shared" si="0"/>
        <v>-1068.7399999999907</v>
      </c>
      <c r="H10" s="40">
        <f aca="true" t="shared" si="4" ref="H10:H17">F10/E10*100</f>
        <v>99.7238492123783</v>
      </c>
      <c r="I10" s="56">
        <f t="shared" si="1"/>
        <v>-1068.7399999999907</v>
      </c>
      <c r="J10" s="56">
        <f t="shared" si="2"/>
        <v>99.7238492123783</v>
      </c>
      <c r="K10" s="141">
        <f>F10-372115.6</f>
        <v>13828.860000000044</v>
      </c>
      <c r="L10" s="142">
        <f>F10/372115.6</f>
        <v>1.037162806396722</v>
      </c>
      <c r="M10" s="40">
        <f>E10-листопад!E10</f>
        <v>35005.20000000001</v>
      </c>
      <c r="N10" s="40">
        <f>F10-листопад!F10</f>
        <v>36747.080000000016</v>
      </c>
      <c r="O10" s="53">
        <f t="shared" si="3"/>
        <v>1741.8800000000047</v>
      </c>
      <c r="P10" s="56">
        <f aca="true" t="shared" si="5" ref="P10:P17">N10/M10*100</f>
        <v>104.97606069955323</v>
      </c>
      <c r="Q10" s="141">
        <f>N10-37779.2</f>
        <v>-1032.1199999999808</v>
      </c>
      <c r="R10" s="142">
        <f>N10/37779.2</f>
        <v>0.9726802049805189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-1323.5</v>
      </c>
      <c r="G19" s="49">
        <f t="shared" si="0"/>
        <v>-2323.5</v>
      </c>
      <c r="H19" s="40">
        <f aca="true" t="shared" si="7" ref="H19:H28">F19/E19*100</f>
        <v>-132.35</v>
      </c>
      <c r="I19" s="56">
        <f aca="true" t="shared" si="8" ref="I19:I28">F19-D19</f>
        <v>-2323.5</v>
      </c>
      <c r="J19" s="56">
        <f aca="true" t="shared" si="9" ref="J19:J28">F19/D19*100</f>
        <v>-132.35</v>
      </c>
      <c r="K19" s="167">
        <f>F19-7565.9</f>
        <v>-8889.4</v>
      </c>
      <c r="L19" s="168">
        <f>F19/7565.9</f>
        <v>-0.17492961841948745</v>
      </c>
      <c r="M19" s="40">
        <f>E19-листопад!E19</f>
        <v>-79.59999999999991</v>
      </c>
      <c r="N19" s="40">
        <f>F19-листопад!F19</f>
        <v>29.059999999999945</v>
      </c>
      <c r="O19" s="53">
        <f t="shared" si="3"/>
        <v>108.65999999999985</v>
      </c>
      <c r="P19" s="56">
        <f aca="true" t="shared" si="10" ref="P19:P28">N19/M19*100</f>
        <v>-36.507537688442184</v>
      </c>
      <c r="Q19" s="56">
        <f>N19-358.9</f>
        <v>-329.84000000000003</v>
      </c>
      <c r="R19" s="135">
        <f>N19/358.9</f>
        <v>0.08096962942323753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79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>D29</f>
        <v>930</v>
      </c>
      <c r="F29" s="170">
        <v>-840.7</v>
      </c>
      <c r="G29" s="49">
        <f>F29-E29</f>
        <v>-1770.7</v>
      </c>
      <c r="H29" s="40">
        <f>F29/E29*100</f>
        <v>-90.3978494623656</v>
      </c>
      <c r="I29" s="56">
        <f>F29-D29</f>
        <v>-1770.7</v>
      </c>
      <c r="J29" s="56">
        <f>F29/D29*100</f>
        <v>-90.3978494623656</v>
      </c>
      <c r="K29" s="148">
        <f>F29-3938.93</f>
        <v>-4779.63</v>
      </c>
      <c r="L29" s="149">
        <f>F29/3938.93</f>
        <v>-0.21343359744905344</v>
      </c>
      <c r="M29" s="40">
        <f>E29-листопад!E29</f>
        <v>110.39999999999998</v>
      </c>
      <c r="N29" s="40">
        <f>F29-листопад!F29</f>
        <v>28.719999999999914</v>
      </c>
      <c r="O29" s="148">
        <f>N29-M29</f>
        <v>-81.68000000000006</v>
      </c>
      <c r="P29" s="145">
        <f>N29/M29*100</f>
        <v>26.014492753623113</v>
      </c>
      <c r="Q29" s="148">
        <f>N29-358.92</f>
        <v>-330.2000000000001</v>
      </c>
      <c r="R29" s="149">
        <f>N29/358.92</f>
        <v>0.08001783127159232</v>
      </c>
    </row>
    <row r="30" spans="1:18" s="6" customFormat="1" ht="36" customHeight="1">
      <c r="A30" s="8"/>
      <c r="B30" s="15" t="s">
        <v>309</v>
      </c>
      <c r="C30" s="180" t="s">
        <v>310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79733.87</v>
      </c>
      <c r="G33" s="49">
        <f aca="true" t="shared" si="15" ref="G33:G72">F33-E33</f>
        <v>-13832.130000000005</v>
      </c>
      <c r="H33" s="40">
        <f aca="true" t="shared" si="16" ref="H33:H67">F33/E33*100</f>
        <v>85.21671333604087</v>
      </c>
      <c r="I33" s="56">
        <f>F33-D33</f>
        <v>-13832.130000000005</v>
      </c>
      <c r="J33" s="56">
        <f aca="true" t="shared" si="17" ref="J33:J72">F33/D33*100</f>
        <v>85.21671333604087</v>
      </c>
      <c r="K33" s="141">
        <f>F33-80761.4</f>
        <v>-1027.5299999999988</v>
      </c>
      <c r="L33" s="142">
        <f>F33/80721.4</f>
        <v>0.9877661933514533</v>
      </c>
      <c r="M33" s="40">
        <f>E33-листопад!E33</f>
        <v>21652.570000000007</v>
      </c>
      <c r="N33" s="40">
        <f>F33-листопад!F33</f>
        <v>4736.099999999991</v>
      </c>
      <c r="O33" s="53">
        <f t="shared" si="3"/>
        <v>-16916.470000000016</v>
      </c>
      <c r="P33" s="56">
        <f aca="true" t="shared" si="18" ref="P33:P67">N33/M33*100</f>
        <v>21.87315408748241</v>
      </c>
      <c r="Q33" s="141">
        <f>N33-6915.7</f>
        <v>-2179.6000000000085</v>
      </c>
      <c r="R33" s="142">
        <f>N33/6915.7</f>
        <v>0.6848330610061153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59516.54</v>
      </c>
      <c r="G55" s="144">
        <f t="shared" si="15"/>
        <v>-10749.46</v>
      </c>
      <c r="H55" s="146">
        <f t="shared" si="16"/>
        <v>84.70176187629865</v>
      </c>
      <c r="I55" s="145">
        <f t="shared" si="19"/>
        <v>-10749.46</v>
      </c>
      <c r="J55" s="145">
        <f t="shared" si="17"/>
        <v>84.70176187629865</v>
      </c>
      <c r="K55" s="148">
        <f>F55-59068.8</f>
        <v>447.73999999999796</v>
      </c>
      <c r="L55" s="149">
        <f>F55/59068.8</f>
        <v>1.0075799745381657</v>
      </c>
      <c r="M55" s="40">
        <f>E55-листопад!E55</f>
        <v>17417.47</v>
      </c>
      <c r="N55" s="40">
        <f>F55-листопад!F55</f>
        <v>3766.3899999999994</v>
      </c>
      <c r="O55" s="148">
        <f t="shared" si="3"/>
        <v>-13651.080000000002</v>
      </c>
      <c r="P55" s="148">
        <f t="shared" si="18"/>
        <v>21.62420833795034</v>
      </c>
      <c r="Q55" s="160">
        <f>N55-5155.85</f>
        <v>-1389.460000000001</v>
      </c>
      <c r="R55" s="161">
        <f>N55/5155.85</f>
        <v>0.7305080636558471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1.51+6423.19</f>
        <v>6424.7</v>
      </c>
      <c r="G56" s="49">
        <f t="shared" si="15"/>
        <v>-435.3000000000002</v>
      </c>
      <c r="H56" s="40">
        <f t="shared" si="16"/>
        <v>93.65451895043732</v>
      </c>
      <c r="I56" s="56">
        <f t="shared" si="19"/>
        <v>-435.3000000000002</v>
      </c>
      <c r="J56" s="56">
        <f t="shared" si="17"/>
        <v>93.65451895043732</v>
      </c>
      <c r="K56" s="56">
        <f>F56-6243.8</f>
        <v>180.89999999999964</v>
      </c>
      <c r="L56" s="135">
        <f>F56/6243.8</f>
        <v>1.0289727409590312</v>
      </c>
      <c r="M56" s="40">
        <f>E56-листопад!E56</f>
        <v>640.1000000000004</v>
      </c>
      <c r="N56" s="40">
        <f>F56-листопад!F56</f>
        <v>585.5799999999999</v>
      </c>
      <c r="O56" s="53">
        <f t="shared" si="3"/>
        <v>-54.52000000000044</v>
      </c>
      <c r="P56" s="56">
        <f t="shared" si="18"/>
        <v>91.48258084674264</v>
      </c>
      <c r="Q56" s="56">
        <f>N56-583.3</f>
        <v>2.2799999999999727</v>
      </c>
      <c r="R56" s="135">
        <f>N56/583.3</f>
        <v>1.0039087947882737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2.11</v>
      </c>
      <c r="G68" s="49">
        <f t="shared" si="15"/>
        <v>2.01</v>
      </c>
      <c r="H68" s="40"/>
      <c r="I68" s="56">
        <f t="shared" si="19"/>
        <v>2.01</v>
      </c>
      <c r="J68" s="56">
        <f t="shared" si="17"/>
        <v>2110</v>
      </c>
      <c r="K68" s="56">
        <f>F68-(-1.7)</f>
        <v>3.8099999999999996</v>
      </c>
      <c r="L68" s="135"/>
      <c r="M68" s="40">
        <f>E68-листопад!E68</f>
        <v>0</v>
      </c>
      <c r="N68" s="40">
        <f>F68-листопад!F68</f>
        <v>0.15999999999999992</v>
      </c>
      <c r="O68" s="53">
        <f t="shared" si="3"/>
        <v>0.15999999999999992</v>
      </c>
      <c r="P68" s="56"/>
      <c r="Q68" s="56">
        <f>N68-0.2</f>
        <v>-0.04000000000000009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12942.63</v>
      </c>
      <c r="G74" s="50">
        <f aca="true" t="shared" si="25" ref="G74:G92">F74-E74</f>
        <v>-5415.67</v>
      </c>
      <c r="H74" s="51">
        <f aca="true" t="shared" si="26" ref="H74:H87">F74/E74*100</f>
        <v>70.50015524313254</v>
      </c>
      <c r="I74" s="36">
        <f aca="true" t="shared" si="27" ref="I74:I92">F74-D74</f>
        <v>-5415.67</v>
      </c>
      <c r="J74" s="36">
        <f aca="true" t="shared" si="28" ref="J74:J92">F74/D74*100</f>
        <v>70.50015524313254</v>
      </c>
      <c r="K74" s="36">
        <f>F74-19611.3</f>
        <v>-6668.67</v>
      </c>
      <c r="L74" s="136">
        <f>F74/19611.3</f>
        <v>0.6599577794434841</v>
      </c>
      <c r="M74" s="22">
        <f>M77+M86+M88+M89+M94+M95+M96+M97+M99+M87+M104</f>
        <v>3081.2999999999997</v>
      </c>
      <c r="N74" s="22">
        <f>N77+N86+N88+N89+N94+N95+N96+N97+N99+N32+N104+N87+N103</f>
        <v>1038.2300000000007</v>
      </c>
      <c r="O74" s="55">
        <f aca="true" t="shared" si="29" ref="O74:O92">N74-M74</f>
        <v>-2043.069999999999</v>
      </c>
      <c r="P74" s="36">
        <f>N74/M74*100</f>
        <v>33.694544510433936</v>
      </c>
      <c r="Q74" s="36">
        <f>N74-1783.5</f>
        <v>-745.2699999999993</v>
      </c>
      <c r="R74" s="136">
        <f>N74/1783.5</f>
        <v>0.5821306419960756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273.9</v>
      </c>
      <c r="G87" s="49">
        <f t="shared" si="25"/>
        <v>-226.10000000000002</v>
      </c>
      <c r="H87" s="40">
        <f t="shared" si="26"/>
        <v>54.779999999999994</v>
      </c>
      <c r="I87" s="56">
        <f t="shared" si="27"/>
        <v>-226.10000000000002</v>
      </c>
      <c r="J87" s="56">
        <f t="shared" si="28"/>
        <v>54.779999999999994</v>
      </c>
      <c r="K87" s="56">
        <f>F87-264.6</f>
        <v>9.299999999999955</v>
      </c>
      <c r="L87" s="135">
        <f>F87/264.6</f>
        <v>1.0351473922902492</v>
      </c>
      <c r="M87" s="40">
        <f>E87-листопад!E87</f>
        <v>280</v>
      </c>
      <c r="N87" s="40">
        <f>F87-листопад!F87</f>
        <v>31.109999999999985</v>
      </c>
      <c r="O87" s="53">
        <f t="shared" si="29"/>
        <v>-248.89000000000001</v>
      </c>
      <c r="P87" s="56">
        <f t="shared" si="30"/>
        <v>11.11071428571428</v>
      </c>
      <c r="Q87" s="56">
        <f>N87-36.8</f>
        <v>-5.690000000000012</v>
      </c>
      <c r="R87" s="135">
        <f>N87/36.8</f>
        <v>0.8453804347826084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131.7</v>
      </c>
      <c r="G89" s="49">
        <f t="shared" si="25"/>
        <v>-43.30000000000001</v>
      </c>
      <c r="H89" s="40">
        <f>F89/E89*100</f>
        <v>75.25714285714285</v>
      </c>
      <c r="I89" s="56">
        <f t="shared" si="27"/>
        <v>-43.30000000000001</v>
      </c>
      <c r="J89" s="56">
        <f t="shared" si="28"/>
        <v>75.25714285714285</v>
      </c>
      <c r="K89" s="56">
        <f>F89-166.8</f>
        <v>-35.10000000000002</v>
      </c>
      <c r="L89" s="135">
        <f>F89/166.8</f>
        <v>0.7895683453237409</v>
      </c>
      <c r="M89" s="40">
        <f>E89-листопад!E89</f>
        <v>16</v>
      </c>
      <c r="N89" s="40">
        <f>F89-листопад!F89</f>
        <v>10.139999999999986</v>
      </c>
      <c r="O89" s="53">
        <f t="shared" si="29"/>
        <v>-5.860000000000014</v>
      </c>
      <c r="P89" s="56">
        <f>N89/M89*100</f>
        <v>63.374999999999915</v>
      </c>
      <c r="Q89" s="56">
        <f>N89-18.9</f>
        <v>-8.760000000000012</v>
      </c>
      <c r="R89" s="135">
        <f>N89/18.9</f>
        <v>0.5365079365079358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7153.35</v>
      </c>
      <c r="G95" s="49">
        <f t="shared" si="33"/>
        <v>153.35000000000036</v>
      </c>
      <c r="H95" s="40">
        <f>F95/E95*100</f>
        <v>102.1907142857143</v>
      </c>
      <c r="I95" s="56">
        <f t="shared" si="34"/>
        <v>153.35000000000036</v>
      </c>
      <c r="J95" s="56">
        <f>F95/D95*100</f>
        <v>102.1907142857143</v>
      </c>
      <c r="K95" s="56">
        <f>F95-7293.9</f>
        <v>-140.54999999999927</v>
      </c>
      <c r="L95" s="135">
        <f>F95/7293.9</f>
        <v>0.9807304734092873</v>
      </c>
      <c r="M95" s="40">
        <f>E95-листопад!E95</f>
        <v>593.5</v>
      </c>
      <c r="N95" s="40">
        <f>F95-листопад!F95</f>
        <v>579.4400000000005</v>
      </c>
      <c r="O95" s="53">
        <f t="shared" si="35"/>
        <v>-14.05999999999949</v>
      </c>
      <c r="P95" s="56">
        <f>N95/M95*100</f>
        <v>97.63100252738003</v>
      </c>
      <c r="Q95" s="56">
        <f>N95-532.9</f>
        <v>46.54000000000053</v>
      </c>
      <c r="R95" s="135">
        <f>N95/532.9</f>
        <v>1.0873334584349794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1065.56</v>
      </c>
      <c r="G96" s="49">
        <f t="shared" si="33"/>
        <v>-134.44000000000005</v>
      </c>
      <c r="H96" s="40">
        <f>F96/E96*100</f>
        <v>88.79666666666665</v>
      </c>
      <c r="I96" s="56">
        <f t="shared" si="34"/>
        <v>-134.44000000000005</v>
      </c>
      <c r="J96" s="56">
        <f>F96/D96*100</f>
        <v>88.79666666666665</v>
      </c>
      <c r="K96" s="56">
        <f>F96-1134.1</f>
        <v>-68.53999999999996</v>
      </c>
      <c r="L96" s="135">
        <f>F96/1134.1</f>
        <v>0.9395644123093202</v>
      </c>
      <c r="M96" s="40">
        <f>E96-листопад!E96</f>
        <v>185.5</v>
      </c>
      <c r="N96" s="40">
        <f>F96-листопад!F96</f>
        <v>90.11999999999989</v>
      </c>
      <c r="O96" s="53">
        <f t="shared" si="35"/>
        <v>-95.38000000000011</v>
      </c>
      <c r="P96" s="56">
        <f>N96/M96*100</f>
        <v>48.58221024258754</v>
      </c>
      <c r="Q96" s="56">
        <f>N96-120.3</f>
        <v>-30.180000000000106</v>
      </c>
      <c r="R96" s="135">
        <f>N96/120.3</f>
        <v>0.7491271820448869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7.58</v>
      </c>
      <c r="G97" s="49">
        <f t="shared" si="33"/>
        <v>-32.42</v>
      </c>
      <c r="H97" s="40"/>
      <c r="I97" s="56">
        <f t="shared" si="34"/>
        <v>-32.42</v>
      </c>
      <c r="J97" s="56"/>
      <c r="K97" s="56">
        <f>F97-56.5</f>
        <v>-48.92</v>
      </c>
      <c r="L97" s="135">
        <f>F97/56.5</f>
        <v>0.13415929203539823</v>
      </c>
      <c r="M97" s="40">
        <f>E97-листопад!E97</f>
        <v>20</v>
      </c>
      <c r="N97" s="40">
        <f>F97-листопад!F97</f>
        <v>7.05</v>
      </c>
      <c r="O97" s="53">
        <f t="shared" si="35"/>
        <v>-12.95</v>
      </c>
      <c r="P97" s="56"/>
      <c r="Q97" s="56">
        <f>N97-16</f>
        <v>-8.95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4133.06</v>
      </c>
      <c r="G99" s="49">
        <f t="shared" si="33"/>
        <v>-439.6399999999994</v>
      </c>
      <c r="H99" s="40">
        <f>F99/E99*100</f>
        <v>90.38554901917905</v>
      </c>
      <c r="I99" s="56">
        <f t="shared" si="34"/>
        <v>-439.6399999999994</v>
      </c>
      <c r="J99" s="56">
        <f>F99/D99*100</f>
        <v>90.38554901917905</v>
      </c>
      <c r="K99" s="56">
        <f>F99-4500.7</f>
        <v>-367.6399999999994</v>
      </c>
      <c r="L99" s="135">
        <f>F99/4500.7</f>
        <v>0.9183149287888552</v>
      </c>
      <c r="M99" s="40">
        <f>E99-листопад!E99</f>
        <v>905.6999999999998</v>
      </c>
      <c r="N99" s="40">
        <f>F99-листопад!F99</f>
        <v>320.37000000000035</v>
      </c>
      <c r="O99" s="53">
        <f t="shared" si="35"/>
        <v>-585.3299999999995</v>
      </c>
      <c r="P99" s="56">
        <f>N99/M99*100</f>
        <v>35.37263994700236</v>
      </c>
      <c r="Q99" s="56">
        <f>N99-321.9</f>
        <v>-1.5299999999996317</v>
      </c>
      <c r="R99" s="135">
        <f>N99/321.9</f>
        <v>0.9952469711090413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1018.5</v>
      </c>
      <c r="G102" s="144"/>
      <c r="H102" s="146"/>
      <c r="I102" s="145"/>
      <c r="J102" s="145"/>
      <c r="K102" s="148">
        <f>F102-816.5</f>
        <v>202</v>
      </c>
      <c r="L102" s="149">
        <f>F102/816.5</f>
        <v>1.24739742804654</v>
      </c>
      <c r="M102" s="40">
        <f>E102-листопад!E102</f>
        <v>0</v>
      </c>
      <c r="N102" s="40">
        <f>F102-листопад!F102</f>
        <v>91.60000000000002</v>
      </c>
      <c r="O102" s="53"/>
      <c r="P102" s="60"/>
      <c r="Q102" s="60">
        <f>N102-78.3</f>
        <v>13.300000000000026</v>
      </c>
      <c r="R102" s="138">
        <f>N102/78.3</f>
        <v>1.1698595146871011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 t="s">
        <v>311</v>
      </c>
      <c r="J104" s="56">
        <f>F105-D104</f>
        <v>-41.09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6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24.41</v>
      </c>
      <c r="G105" s="49">
        <f>F105-E105</f>
        <v>-20.59</v>
      </c>
      <c r="H105" s="40">
        <f>F105/E105*100</f>
        <v>54.24444444444444</v>
      </c>
      <c r="I105" s="56">
        <f aca="true" t="shared" si="37" ref="I105:I111">F105-D105</f>
        <v>-20.59</v>
      </c>
      <c r="J105" s="56">
        <f aca="true" t="shared" si="38" ref="J105:J110">F105/D105*100</f>
        <v>54.24444444444444</v>
      </c>
      <c r="K105" s="56">
        <f>F105-45.1</f>
        <v>-20.69</v>
      </c>
      <c r="L105" s="135">
        <f>F105/45.1</f>
        <v>0.5412416851441242</v>
      </c>
      <c r="M105" s="40">
        <f>E105-листопад!E105</f>
        <v>14.8</v>
      </c>
      <c r="N105" s="40">
        <f>F105-листопад!F105</f>
        <v>0.5599999999999987</v>
      </c>
      <c r="O105" s="53">
        <f t="shared" si="36"/>
        <v>-14.240000000000002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6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483780.45</v>
      </c>
      <c r="G107" s="175">
        <f>F107-E107</f>
        <v>-23099.149999999965</v>
      </c>
      <c r="H107" s="51">
        <f>F107/E107*100</f>
        <v>95.44287242966575</v>
      </c>
      <c r="I107" s="36">
        <f t="shared" si="37"/>
        <v>-23099.149999999965</v>
      </c>
      <c r="J107" s="36">
        <f t="shared" si="38"/>
        <v>95.44287242966575</v>
      </c>
      <c r="K107" s="36">
        <f>F107-486380.4</f>
        <v>-2599.9500000000116</v>
      </c>
      <c r="L107" s="136">
        <f>F107/486380.4</f>
        <v>0.9946544926563652</v>
      </c>
      <c r="M107" s="22">
        <f>M8+M74+M105+M106</f>
        <v>60314.370000000024</v>
      </c>
      <c r="N107" s="152">
        <f>N8+N74+N105+N106</f>
        <v>43136.77000000001</v>
      </c>
      <c r="O107" s="55">
        <f t="shared" si="36"/>
        <v>-17177.600000000013</v>
      </c>
      <c r="P107" s="36">
        <f>N107/M107*100</f>
        <v>71.51988821237791</v>
      </c>
      <c r="Q107" s="36">
        <f>N107-47430.3</f>
        <v>-4293.529999999992</v>
      </c>
      <c r="R107" s="136">
        <f>N107/47430.2</f>
        <v>0.9094789817458078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387010.02</v>
      </c>
      <c r="G108" s="153">
        <f>G10-G18+G96</f>
        <v>-1203.1799999999907</v>
      </c>
      <c r="H108" s="72">
        <f>F108/E108*100</f>
        <v>99.6900723622999</v>
      </c>
      <c r="I108" s="52">
        <f t="shared" si="37"/>
        <v>-1203.179999999993</v>
      </c>
      <c r="J108" s="52">
        <f t="shared" si="38"/>
        <v>99.6900723622999</v>
      </c>
      <c r="K108" s="52">
        <f>F108-373338.7</f>
        <v>13671.320000000007</v>
      </c>
      <c r="L108" s="137">
        <f>F108/373338.7</f>
        <v>1.0366190807435716</v>
      </c>
      <c r="M108" s="71">
        <f>M10-M18+M96</f>
        <v>35190.70000000001</v>
      </c>
      <c r="N108" s="153">
        <f>N10-N18+N96</f>
        <v>36837.20000000002</v>
      </c>
      <c r="O108" s="53">
        <f t="shared" si="36"/>
        <v>1646.5000000000073</v>
      </c>
      <c r="P108" s="52">
        <f>N108/M108*100</f>
        <v>104.6787929765535</v>
      </c>
      <c r="Q108" s="52">
        <f>N108-37899.5</f>
        <v>-1062.299999999981</v>
      </c>
      <c r="R108" s="137">
        <f>N108/37899.5</f>
        <v>0.9719706064723814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96770.43</v>
      </c>
      <c r="G109" s="176">
        <f>F109-E109</f>
        <v>-21895.969999999972</v>
      </c>
      <c r="H109" s="72">
        <f>F109/E109*100</f>
        <v>81.54829842314254</v>
      </c>
      <c r="I109" s="52">
        <f t="shared" si="37"/>
        <v>-21895.969999999972</v>
      </c>
      <c r="J109" s="52">
        <f t="shared" si="38"/>
        <v>81.54829842314254</v>
      </c>
      <c r="K109" s="52">
        <f>F109-113041.7</f>
        <v>-16271.270000000004</v>
      </c>
      <c r="L109" s="137">
        <f>F109/113041.7</f>
        <v>0.856059578014131</v>
      </c>
      <c r="M109" s="71">
        <f>M107-M108</f>
        <v>25123.670000000013</v>
      </c>
      <c r="N109" s="153">
        <f>N107-N108</f>
        <v>6299.569999999992</v>
      </c>
      <c r="O109" s="53">
        <f t="shared" si="36"/>
        <v>-18824.10000000002</v>
      </c>
      <c r="P109" s="52">
        <f>N109/M109*100</f>
        <v>25.074242736033348</v>
      </c>
      <c r="Q109" s="52">
        <f>N109-9530.7</f>
        <v>-3231.1300000000083</v>
      </c>
      <c r="R109" s="137">
        <f>N109/9530.7</f>
        <v>0.6609766334057301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387010.02</v>
      </c>
      <c r="G110" s="111">
        <f>F110-E110</f>
        <v>-1203.179999999993</v>
      </c>
      <c r="H110" s="72">
        <f>F110/E110*100</f>
        <v>99.6900723622999</v>
      </c>
      <c r="I110" s="81">
        <f t="shared" si="37"/>
        <v>-1203.179999999993</v>
      </c>
      <c r="J110" s="52">
        <f t="shared" si="38"/>
        <v>99.6900723622999</v>
      </c>
      <c r="K110" s="52"/>
      <c r="L110" s="137"/>
      <c r="M110" s="72">
        <f>E110-листопад!E110</f>
        <v>39530.600000000035</v>
      </c>
      <c r="N110" s="71">
        <f>N108</f>
        <v>36837.20000000002</v>
      </c>
      <c r="O110" s="63">
        <f t="shared" si="36"/>
        <v>-2693.400000000016</v>
      </c>
      <c r="P110" s="52">
        <f>N110/M110*100</f>
        <v>93.18654409495424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7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1645.8</v>
      </c>
      <c r="G115" s="49">
        <f t="shared" si="39"/>
        <v>-2025.7</v>
      </c>
      <c r="H115" s="40">
        <f aca="true" t="shared" si="41" ref="H115:H126">F115/E115*100</f>
        <v>44.82636524581234</v>
      </c>
      <c r="I115" s="60">
        <f t="shared" si="40"/>
        <v>-2025.7</v>
      </c>
      <c r="J115" s="60">
        <f aca="true" t="shared" si="42" ref="J115:J121">F115/D115*100</f>
        <v>44.82636524581234</v>
      </c>
      <c r="K115" s="60">
        <f>F115-3298.2</f>
        <v>-1652.3999999999999</v>
      </c>
      <c r="L115" s="138">
        <f>F115/3298.2</f>
        <v>0.49899945424777153</v>
      </c>
      <c r="M115" s="40">
        <f>E115-листопад!E115</f>
        <v>337.0999999999999</v>
      </c>
      <c r="N115" s="40">
        <f>F115-листопад!F115</f>
        <v>160.99</v>
      </c>
      <c r="O115" s="53">
        <f aca="true" t="shared" si="43" ref="O115:O126">N115-M115</f>
        <v>-176.1099999999999</v>
      </c>
      <c r="P115" s="60">
        <f>N115/M115*100</f>
        <v>47.75734203500446</v>
      </c>
      <c r="Q115" s="60">
        <f>N115-86.8</f>
        <v>74.19000000000001</v>
      </c>
      <c r="R115" s="138">
        <f>N115/86.8</f>
        <v>1.8547235023041477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308.57</v>
      </c>
      <c r="G116" s="49">
        <f t="shared" si="39"/>
        <v>40.46999999999997</v>
      </c>
      <c r="H116" s="40">
        <f t="shared" si="41"/>
        <v>115.09511376352106</v>
      </c>
      <c r="I116" s="60">
        <f t="shared" si="40"/>
        <v>40.46999999999997</v>
      </c>
      <c r="J116" s="60">
        <f t="shared" si="42"/>
        <v>115.09511376352106</v>
      </c>
      <c r="K116" s="60">
        <f>F116-246.9</f>
        <v>61.66999999999999</v>
      </c>
      <c r="L116" s="138">
        <f>F116/246.9</f>
        <v>1.249777237748076</v>
      </c>
      <c r="M116" s="40">
        <f>E116-листопад!E116</f>
        <v>23.600000000000023</v>
      </c>
      <c r="N116" s="40">
        <f>F116-листопад!F116</f>
        <v>23.75999999999999</v>
      </c>
      <c r="O116" s="53">
        <f t="shared" si="43"/>
        <v>0.15999999999996817</v>
      </c>
      <c r="P116" s="60">
        <f>N116/M116*100</f>
        <v>100.67796610169478</v>
      </c>
      <c r="Q116" s="60">
        <f>N116-31.3</f>
        <v>-7.54000000000001</v>
      </c>
      <c r="R116" s="138">
        <f>N116/31.3</f>
        <v>0.7591054313099038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1954.9199999999998</v>
      </c>
      <c r="G117" s="62">
        <f t="shared" si="39"/>
        <v>-1984.68</v>
      </c>
      <c r="H117" s="72">
        <f t="shared" si="41"/>
        <v>49.622296679865975</v>
      </c>
      <c r="I117" s="61">
        <f t="shared" si="40"/>
        <v>-1984.68</v>
      </c>
      <c r="J117" s="61">
        <f t="shared" si="42"/>
        <v>49.622296679865975</v>
      </c>
      <c r="K117" s="61">
        <f>F117-3599.2</f>
        <v>-1644.28</v>
      </c>
      <c r="L117" s="139">
        <f>F117/3599.2</f>
        <v>0.5431540342298289</v>
      </c>
      <c r="M117" s="62">
        <f>M115+M116+M114</f>
        <v>360.69999999999993</v>
      </c>
      <c r="N117" s="38">
        <f>SUM(N114:N116)</f>
        <v>184.75</v>
      </c>
      <c r="O117" s="61">
        <f t="shared" si="43"/>
        <v>-175.94999999999993</v>
      </c>
      <c r="P117" s="61">
        <f>N117/M117*100</f>
        <v>51.21985029110064</v>
      </c>
      <c r="Q117" s="61">
        <f>N117-121.6</f>
        <v>63.150000000000006</v>
      </c>
      <c r="R117" s="139">
        <f>N117/121.6</f>
        <v>1.519325657894737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455</v>
      </c>
      <c r="E119" s="33">
        <f>D119</f>
        <v>455</v>
      </c>
      <c r="F119" s="174">
        <v>464.4</v>
      </c>
      <c r="G119" s="49">
        <f t="shared" si="39"/>
        <v>9.399999999999977</v>
      </c>
      <c r="H119" s="40">
        <f t="shared" si="41"/>
        <v>102.06593406593407</v>
      </c>
      <c r="I119" s="60">
        <f t="shared" si="40"/>
        <v>9.399999999999977</v>
      </c>
      <c r="J119" s="60">
        <f t="shared" si="42"/>
        <v>102.06593406593407</v>
      </c>
      <c r="K119" s="60">
        <f>F119-240.3</f>
        <v>224.09999999999997</v>
      </c>
      <c r="L119" s="138">
        <f>F119/240.3</f>
        <v>1.9325842696629212</v>
      </c>
      <c r="M119" s="40">
        <f>E119-листопад!E119</f>
        <v>194.5</v>
      </c>
      <c r="N119" s="40">
        <f>F119-листопад!F119</f>
        <v>9.729999999999961</v>
      </c>
      <c r="O119" s="53">
        <f>N119-M119</f>
        <v>-184.77000000000004</v>
      </c>
      <c r="P119" s="60">
        <f>N119/M119*100</f>
        <v>5.002570694087384</v>
      </c>
      <c r="Q119" s="60">
        <f>N119-2.6</f>
        <v>7.129999999999962</v>
      </c>
      <c r="R119" s="138">
        <f>N119/2.6</f>
        <v>3.7423076923076772</v>
      </c>
    </row>
    <row r="120" spans="2:18" s="48" customFormat="1" ht="22.5" customHeight="1">
      <c r="B120" s="15" t="s">
        <v>139</v>
      </c>
      <c r="C120" s="108">
        <v>18050000</v>
      </c>
      <c r="D120" s="33">
        <v>79309</v>
      </c>
      <c r="E120" s="33">
        <f>D120</f>
        <v>79309</v>
      </c>
      <c r="F120" s="174">
        <v>82991.86</v>
      </c>
      <c r="G120" s="49">
        <f t="shared" si="39"/>
        <v>3682.8600000000006</v>
      </c>
      <c r="H120" s="40">
        <f t="shared" si="41"/>
        <v>104.64368482769926</v>
      </c>
      <c r="I120" s="53">
        <f t="shared" si="40"/>
        <v>3682.8600000000006</v>
      </c>
      <c r="J120" s="60">
        <f t="shared" si="42"/>
        <v>104.64368482769926</v>
      </c>
      <c r="K120" s="60">
        <f>F120-69925</f>
        <v>13066.86</v>
      </c>
      <c r="L120" s="138">
        <f>F120/69925</f>
        <v>1.1868696460493386</v>
      </c>
      <c r="M120" s="40">
        <f>E120-листопад!E120</f>
        <v>10596.399999999994</v>
      </c>
      <c r="N120" s="40">
        <f>F120-листопад!F120</f>
        <v>3674.0599999999977</v>
      </c>
      <c r="O120" s="53">
        <f t="shared" si="43"/>
        <v>-6922.3399999999965</v>
      </c>
      <c r="P120" s="60">
        <f aca="true" t="shared" si="44" ref="P120:P125">N120/M120*100</f>
        <v>34.67271903665395</v>
      </c>
      <c r="Q120" s="60">
        <f>N120-3130.1</f>
        <v>543.9599999999978</v>
      </c>
      <c r="R120" s="138">
        <f>N120/3130.1</f>
        <v>1.1737835851889709</v>
      </c>
    </row>
    <row r="121" spans="2:18" ht="31.5">
      <c r="B121" s="30" t="s">
        <v>111</v>
      </c>
      <c r="C121" s="106">
        <v>31030000</v>
      </c>
      <c r="D121" s="33">
        <v>2100</v>
      </c>
      <c r="E121" s="33">
        <f>D121</f>
        <v>2100</v>
      </c>
      <c r="F121" s="174">
        <v>2169.33</v>
      </c>
      <c r="G121" s="49">
        <f t="shared" si="39"/>
        <v>69.32999999999993</v>
      </c>
      <c r="H121" s="40">
        <f t="shared" si="41"/>
        <v>103.30142857142857</v>
      </c>
      <c r="I121" s="60">
        <f t="shared" si="40"/>
        <v>69.32999999999993</v>
      </c>
      <c r="J121" s="60">
        <f t="shared" si="42"/>
        <v>103.30142857142857</v>
      </c>
      <c r="K121" s="60">
        <f>F121-1790.1</f>
        <v>379.23</v>
      </c>
      <c r="L121" s="138">
        <f>F121/1790.1</f>
        <v>1.2118485000837942</v>
      </c>
      <c r="M121" s="40">
        <f>E121-листопад!E121</f>
        <v>-1261.19</v>
      </c>
      <c r="N121" s="40">
        <f>F121-листопад!F121</f>
        <v>247.72000000000003</v>
      </c>
      <c r="O121" s="53">
        <f t="shared" si="43"/>
        <v>1508.91</v>
      </c>
      <c r="P121" s="60">
        <f t="shared" si="44"/>
        <v>-19.641766902687145</v>
      </c>
      <c r="Q121" s="60">
        <f>N121-0.1</f>
        <v>247.62000000000003</v>
      </c>
      <c r="R121" s="138">
        <f>N121/0.1</f>
        <v>2477.2000000000003</v>
      </c>
    </row>
    <row r="122" spans="2:18" ht="27" customHeight="1">
      <c r="B122" s="30" t="s">
        <v>112</v>
      </c>
      <c r="C122" s="106">
        <v>33010000</v>
      </c>
      <c r="D122" s="33">
        <v>3085.17</v>
      </c>
      <c r="E122" s="33">
        <f>D122</f>
        <v>3085.17</v>
      </c>
      <c r="F122" s="174">
        <v>3874.94</v>
      </c>
      <c r="G122" s="49">
        <f t="shared" si="39"/>
        <v>789.77</v>
      </c>
      <c r="H122" s="40">
        <f t="shared" si="41"/>
        <v>125.5989135120593</v>
      </c>
      <c r="I122" s="60">
        <f t="shared" si="40"/>
        <v>789.77</v>
      </c>
      <c r="J122" s="60">
        <f>F122/D122*100</f>
        <v>125.5989135120593</v>
      </c>
      <c r="K122" s="60">
        <f>F122-29972.9</f>
        <v>-26097.960000000003</v>
      </c>
      <c r="L122" s="138">
        <f>F122/29972.9</f>
        <v>0.12928145091065596</v>
      </c>
      <c r="M122" s="40">
        <f>E122-листопад!E122</f>
        <v>-17224.559999999998</v>
      </c>
      <c r="N122" s="40">
        <f>F122-листопад!F122</f>
        <v>46.05000000000018</v>
      </c>
      <c r="O122" s="53">
        <f t="shared" si="43"/>
        <v>17270.609999999997</v>
      </c>
      <c r="P122" s="60">
        <f t="shared" si="44"/>
        <v>-0.2673508060583271</v>
      </c>
      <c r="Q122" s="60">
        <f>N122-6480.9</f>
        <v>-6434.849999999999</v>
      </c>
      <c r="R122" s="138">
        <f>N122/6480.9</f>
        <v>0.007105494607230506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2054.62</v>
      </c>
      <c r="G123" s="49">
        <f t="shared" si="39"/>
        <v>54.61999999999989</v>
      </c>
      <c r="H123" s="40">
        <f t="shared" si="41"/>
        <v>102.731</v>
      </c>
      <c r="I123" s="60">
        <f t="shared" si="40"/>
        <v>54.61999999999989</v>
      </c>
      <c r="J123" s="60">
        <f>F123/D123*100</f>
        <v>102.731</v>
      </c>
      <c r="K123" s="60">
        <f>F123-2200.3</f>
        <v>-145.6800000000003</v>
      </c>
      <c r="L123" s="138">
        <f>F123/2200.3</f>
        <v>0.9337908467027223</v>
      </c>
      <c r="M123" s="40">
        <f>E123-листопад!E123</f>
        <v>189.5999999999999</v>
      </c>
      <c r="N123" s="40">
        <f>F123-листопад!F123</f>
        <v>42.069999999999936</v>
      </c>
      <c r="O123" s="53">
        <f t="shared" si="43"/>
        <v>-147.52999999999997</v>
      </c>
      <c r="P123" s="60">
        <f t="shared" si="44"/>
        <v>22.18881856540082</v>
      </c>
      <c r="Q123" s="60">
        <f>N123-468.3</f>
        <v>-426.2300000000001</v>
      </c>
      <c r="R123" s="138">
        <f>N123/468.3</f>
        <v>0.08983557548579957</v>
      </c>
    </row>
    <row r="124" spans="2:18" ht="34.5">
      <c r="B124" s="37" t="s">
        <v>144</v>
      </c>
      <c r="C124" s="95"/>
      <c r="D124" s="38">
        <f>D120+D121+D122+D123+D119</f>
        <v>86949.17</v>
      </c>
      <c r="E124" s="38">
        <f>E120+E121+E122+E123+E119</f>
        <v>86949.17</v>
      </c>
      <c r="F124" s="173">
        <f>F120+F121+F122+F123+F119</f>
        <v>91555.15</v>
      </c>
      <c r="G124" s="62">
        <f t="shared" si="39"/>
        <v>4605.979999999996</v>
      </c>
      <c r="H124" s="72">
        <f t="shared" si="41"/>
        <v>105.29732486233047</v>
      </c>
      <c r="I124" s="61">
        <f t="shared" si="40"/>
        <v>4605.979999999996</v>
      </c>
      <c r="J124" s="61">
        <f>F124/D124*100</f>
        <v>105.29732486233047</v>
      </c>
      <c r="K124" s="61">
        <f>F124-104128.6</f>
        <v>-12573.450000000012</v>
      </c>
      <c r="L124" s="139">
        <f>F124/104128.6</f>
        <v>0.8792507533953207</v>
      </c>
      <c r="M124" s="62">
        <f>M120+M121+M122+M123+M119</f>
        <v>-7505.250000000004</v>
      </c>
      <c r="N124" s="62">
        <f>N120+N121+N122+N123+N119</f>
        <v>4019.629999999998</v>
      </c>
      <c r="O124" s="61">
        <f t="shared" si="43"/>
        <v>11524.880000000001</v>
      </c>
      <c r="P124" s="61">
        <f t="shared" si="44"/>
        <v>-53.55757636321237</v>
      </c>
      <c r="Q124" s="61">
        <f>N124-10082.1</f>
        <v>-6062.470000000003</v>
      </c>
      <c r="R124" s="139">
        <f>N124/1082.1</f>
        <v>3.7146566860733743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8721.74</v>
      </c>
      <c r="G128" s="49">
        <f aca="true" t="shared" si="45" ref="G128:G135">F128-E128</f>
        <v>21.73999999999978</v>
      </c>
      <c r="H128" s="40">
        <f>F128/E128*100</f>
        <v>100.24988505747126</v>
      </c>
      <c r="I128" s="60">
        <f aca="true" t="shared" si="46" ref="I128:I135">F128-D128</f>
        <v>21.73999999999978</v>
      </c>
      <c r="J128" s="60">
        <f>F128/D128*100</f>
        <v>100.24988505747126</v>
      </c>
      <c r="K128" s="60">
        <f>F128-10836.2</f>
        <v>-2114.460000000001</v>
      </c>
      <c r="L128" s="138">
        <f>F128/10836.2</f>
        <v>0.8048707111348996</v>
      </c>
      <c r="M128" s="40">
        <f>E128-листопад!E128</f>
        <v>1</v>
      </c>
      <c r="N128" s="40">
        <f>F128-листопад!F128</f>
        <v>362.96999999999935</v>
      </c>
      <c r="O128" s="53">
        <f aca="true" t="shared" si="47" ref="O128:O135">N128-M128</f>
        <v>361.96999999999935</v>
      </c>
      <c r="P128" s="60">
        <f>N128/M128*100</f>
        <v>36296.999999999935</v>
      </c>
      <c r="Q128" s="60">
        <f>N128-9.9</f>
        <v>353.06999999999937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8777.909999999998</v>
      </c>
      <c r="G130" s="62">
        <f t="shared" si="45"/>
        <v>27.209999999997308</v>
      </c>
      <c r="H130" s="72">
        <f>F130/E130*100</f>
        <v>100.31094655284718</v>
      </c>
      <c r="I130" s="61">
        <f t="shared" si="46"/>
        <v>27.209999999997308</v>
      </c>
      <c r="J130" s="61">
        <f>F130/D130*100</f>
        <v>100.31094655284718</v>
      </c>
      <c r="K130" s="61">
        <f>F130-10968.9</f>
        <v>-2190.9900000000016</v>
      </c>
      <c r="L130" s="139">
        <f>G130/10968.9</f>
        <v>0.0024806498372669373</v>
      </c>
      <c r="M130" s="62">
        <f>M125+M128+M129+M127</f>
        <v>9.340000000000003</v>
      </c>
      <c r="N130" s="62">
        <f>N125+N128+N129+N127</f>
        <v>363.1799999999993</v>
      </c>
      <c r="O130" s="61">
        <f t="shared" si="47"/>
        <v>353.83999999999935</v>
      </c>
      <c r="P130" s="61">
        <f>N130/M130*100</f>
        <v>3888.436830835109</v>
      </c>
      <c r="Q130" s="61">
        <f>N130-9.7</f>
        <v>353.47999999999934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40.46</v>
      </c>
      <c r="G131" s="49">
        <f>F131-E131</f>
        <v>10.46</v>
      </c>
      <c r="H131" s="40">
        <f>F131/E131*100</f>
        <v>134.86666666666667</v>
      </c>
      <c r="I131" s="60">
        <f>F131-D131</f>
        <v>10.46</v>
      </c>
      <c r="J131" s="60">
        <f>F131/D131*100</f>
        <v>134.86666666666667</v>
      </c>
      <c r="K131" s="60">
        <f>F131-38.4</f>
        <v>2.0600000000000023</v>
      </c>
      <c r="L131" s="138">
        <f>F131/38.4</f>
        <v>1.0536458333333334</v>
      </c>
      <c r="M131" s="40">
        <f>E131-листопад!E131</f>
        <v>5.75</v>
      </c>
      <c r="N131" s="40">
        <f>F131-листопад!F131</f>
        <v>6.410000000000004</v>
      </c>
      <c r="O131" s="53">
        <f>N131-M131</f>
        <v>0.6600000000000037</v>
      </c>
      <c r="P131" s="60">
        <f>N131/M131*100</f>
        <v>111.47826086956528</v>
      </c>
      <c r="Q131" s="60">
        <f>N131-10.2</f>
        <v>-3.7899999999999956</v>
      </c>
      <c r="R131" s="138">
        <f>N131/10.2</f>
        <v>0.62843137254902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99669.47</v>
      </c>
      <c r="E134" s="31">
        <f>E117+E131+E124+E130+E133+E132</f>
        <v>99669.47</v>
      </c>
      <c r="F134" s="31">
        <f>F117+F131+F124+F130+F133+F132</f>
        <v>102328.44</v>
      </c>
      <c r="G134" s="50">
        <f t="shared" si="45"/>
        <v>2658.970000000001</v>
      </c>
      <c r="H134" s="51">
        <f>F134/E134*100</f>
        <v>102.66778783914472</v>
      </c>
      <c r="I134" s="36">
        <f t="shared" si="46"/>
        <v>2658.970000000001</v>
      </c>
      <c r="J134" s="36">
        <f>F134/D134*100</f>
        <v>102.66778783914472</v>
      </c>
      <c r="K134" s="36">
        <f>F134-118735.2</f>
        <v>-16406.759999999995</v>
      </c>
      <c r="L134" s="136">
        <f>F134/118735.2</f>
        <v>0.8618205890081458</v>
      </c>
      <c r="M134" s="31">
        <f>M117+M131+M124+M130+M133+M132</f>
        <v>-7129.460000000004</v>
      </c>
      <c r="N134" s="31">
        <f>N117+N131+N124+N130+N133+N132</f>
        <v>4573.9699999999975</v>
      </c>
      <c r="O134" s="36">
        <f t="shared" si="47"/>
        <v>11703.43</v>
      </c>
      <c r="P134" s="36">
        <f>N134/M134*100</f>
        <v>-64.15591082634583</v>
      </c>
      <c r="Q134" s="36">
        <f>N134-10223.7</f>
        <v>-5649.730000000003</v>
      </c>
      <c r="R134" s="136">
        <f>N134/10223.7</f>
        <v>0.4473889100814771</v>
      </c>
    </row>
    <row r="135" spans="2:18" ht="30.75" customHeight="1">
      <c r="B135" s="28" t="s">
        <v>115</v>
      </c>
      <c r="C135" s="96"/>
      <c r="D135" s="31">
        <f>D107+D134</f>
        <v>606549.07</v>
      </c>
      <c r="E135" s="31">
        <f>E107+E134</f>
        <v>606549.07</v>
      </c>
      <c r="F135" s="31">
        <f>F107+F134</f>
        <v>586108.89</v>
      </c>
      <c r="G135" s="50">
        <f t="shared" si="45"/>
        <v>-20440.179999999935</v>
      </c>
      <c r="H135" s="51">
        <f>F135/E135*100</f>
        <v>96.63008633415267</v>
      </c>
      <c r="I135" s="36">
        <f t="shared" si="46"/>
        <v>-20440.179999999935</v>
      </c>
      <c r="J135" s="36">
        <f>F135/D135*100</f>
        <v>96.63008633415267</v>
      </c>
      <c r="K135" s="36">
        <f>F135-605115.5</f>
        <v>-19006.609999999986</v>
      </c>
      <c r="L135" s="136">
        <f>F135/605115.5</f>
        <v>0.9685901121356171</v>
      </c>
      <c r="M135" s="22">
        <f>M107+M134</f>
        <v>53184.91000000002</v>
      </c>
      <c r="N135" s="22">
        <f>N107+N134</f>
        <v>47710.740000000005</v>
      </c>
      <c r="O135" s="36">
        <f t="shared" si="47"/>
        <v>-5474.170000000013</v>
      </c>
      <c r="P135" s="36">
        <f>N135/M135*100</f>
        <v>89.70728727377745</v>
      </c>
      <c r="Q135" s="36">
        <f>N135-57653.9</f>
        <v>-9943.159999999996</v>
      </c>
      <c r="R135" s="136">
        <f>N135/57653.9</f>
        <v>0.8275370790180717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3</v>
      </c>
      <c r="D137" s="4" t="s">
        <v>118</v>
      </c>
    </row>
    <row r="138" spans="2:17" ht="31.5">
      <c r="B138" s="78" t="s">
        <v>154</v>
      </c>
      <c r="C138" s="39">
        <f>IF(O107&lt;0,ABS(O107/C137),0)</f>
        <v>5725.866666666671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41999</v>
      </c>
      <c r="D139" s="39">
        <v>6307</v>
      </c>
      <c r="N139" s="196"/>
      <c r="O139" s="196"/>
    </row>
    <row r="140" spans="3:15" ht="15.75">
      <c r="C140" s="120">
        <v>41998</v>
      </c>
      <c r="D140" s="39">
        <v>3359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41997</v>
      </c>
      <c r="D141" s="39">
        <v>1992.5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110505.35384000001</v>
      </c>
      <c r="E143" s="80"/>
      <c r="F143" s="100" t="s">
        <v>147</v>
      </c>
      <c r="G143" s="192" t="s">
        <v>149</v>
      </c>
      <c r="H143" s="192"/>
      <c r="I143" s="116">
        <v>101595.62163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308</v>
      </c>
      <c r="C145" s="188"/>
      <c r="D145" s="119">
        <v>0</v>
      </c>
      <c r="E145" s="77"/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208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210</v>
      </c>
      <c r="N3" s="219" t="s">
        <v>198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207</v>
      </c>
      <c r="H4" s="208" t="s">
        <v>195</v>
      </c>
      <c r="I4" s="204" t="s">
        <v>188</v>
      </c>
      <c r="J4" s="210" t="s">
        <v>189</v>
      </c>
      <c r="K4" s="197" t="s">
        <v>196</v>
      </c>
      <c r="L4" s="198"/>
      <c r="M4" s="218"/>
      <c r="N4" s="202" t="s">
        <v>213</v>
      </c>
      <c r="O4" s="204" t="s">
        <v>136</v>
      </c>
      <c r="P4" s="204" t="s">
        <v>135</v>
      </c>
      <c r="Q4" s="197" t="s">
        <v>197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214</v>
      </c>
      <c r="F5" s="221"/>
      <c r="G5" s="207"/>
      <c r="H5" s="209"/>
      <c r="I5" s="205"/>
      <c r="J5" s="211"/>
      <c r="K5" s="199"/>
      <c r="L5" s="200"/>
      <c r="M5" s="151" t="s">
        <v>211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6"/>
      <c r="O138" s="196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41725</v>
      </c>
      <c r="D140" s="39">
        <v>3360.7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3918.1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31" t="s">
        <v>187</v>
      </c>
      <c r="E3" s="46"/>
      <c r="F3" s="232" t="s">
        <v>107</v>
      </c>
      <c r="G3" s="233"/>
      <c r="H3" s="233"/>
      <c r="I3" s="233"/>
      <c r="J3" s="234"/>
      <c r="K3" s="123"/>
      <c r="L3" s="123"/>
      <c r="M3" s="235" t="s">
        <v>190</v>
      </c>
      <c r="N3" s="226" t="s">
        <v>185</v>
      </c>
      <c r="O3" s="226"/>
      <c r="P3" s="226"/>
      <c r="Q3" s="226"/>
      <c r="R3" s="226"/>
    </row>
    <row r="4" spans="1:18" ht="22.5" customHeight="1">
      <c r="A4" s="185"/>
      <c r="B4" s="182"/>
      <c r="C4" s="212"/>
      <c r="D4" s="231"/>
      <c r="E4" s="236" t="s">
        <v>191</v>
      </c>
      <c r="F4" s="227" t="s">
        <v>116</v>
      </c>
      <c r="G4" s="229" t="s">
        <v>167</v>
      </c>
      <c r="H4" s="208" t="s">
        <v>168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5"/>
      <c r="N4" s="202" t="s">
        <v>194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212"/>
      <c r="D5" s="231"/>
      <c r="E5" s="237"/>
      <c r="F5" s="228"/>
      <c r="G5" s="230"/>
      <c r="H5" s="209"/>
      <c r="I5" s="225"/>
      <c r="J5" s="223"/>
      <c r="K5" s="199" t="s">
        <v>184</v>
      </c>
      <c r="L5" s="200"/>
      <c r="M5" s="235"/>
      <c r="N5" s="203"/>
      <c r="O5" s="225"/>
      <c r="P5" s="226"/>
      <c r="Q5" s="199" t="s">
        <v>199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6"/>
      <c r="O138" s="196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41696</v>
      </c>
      <c r="D140" s="39">
        <v>3746.1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31" t="s">
        <v>192</v>
      </c>
      <c r="E3" s="46"/>
      <c r="F3" s="232" t="s">
        <v>107</v>
      </c>
      <c r="G3" s="233"/>
      <c r="H3" s="233"/>
      <c r="I3" s="233"/>
      <c r="J3" s="234"/>
      <c r="K3" s="123"/>
      <c r="L3" s="123"/>
      <c r="M3" s="210" t="s">
        <v>200</v>
      </c>
      <c r="N3" s="226" t="s">
        <v>178</v>
      </c>
      <c r="O3" s="226"/>
      <c r="P3" s="226"/>
      <c r="Q3" s="226"/>
      <c r="R3" s="226"/>
    </row>
    <row r="4" spans="1:18" ht="22.5" customHeight="1">
      <c r="A4" s="185"/>
      <c r="B4" s="182"/>
      <c r="C4" s="212"/>
      <c r="D4" s="231"/>
      <c r="E4" s="236" t="s">
        <v>153</v>
      </c>
      <c r="F4" s="227" t="s">
        <v>116</v>
      </c>
      <c r="G4" s="229" t="s">
        <v>175</v>
      </c>
      <c r="H4" s="208" t="s">
        <v>176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8"/>
      <c r="N4" s="202" t="s">
        <v>186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212"/>
      <c r="D5" s="231"/>
      <c r="E5" s="237"/>
      <c r="F5" s="228"/>
      <c r="G5" s="230"/>
      <c r="H5" s="209"/>
      <c r="I5" s="225"/>
      <c r="J5" s="223"/>
      <c r="K5" s="199" t="s">
        <v>177</v>
      </c>
      <c r="L5" s="200"/>
      <c r="M5" s="211"/>
      <c r="N5" s="203"/>
      <c r="O5" s="225"/>
      <c r="P5" s="226"/>
      <c r="Q5" s="199" t="s">
        <v>179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6"/>
      <c r="O138" s="196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41668</v>
      </c>
      <c r="D140" s="39">
        <v>1984.7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6" sqref="H116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294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291</v>
      </c>
      <c r="H4" s="208" t="s">
        <v>301</v>
      </c>
      <c r="I4" s="204" t="s">
        <v>188</v>
      </c>
      <c r="J4" s="210" t="s">
        <v>189</v>
      </c>
      <c r="K4" s="197" t="s">
        <v>292</v>
      </c>
      <c r="L4" s="198"/>
      <c r="M4" s="218"/>
      <c r="N4" s="202" t="s">
        <v>298</v>
      </c>
      <c r="O4" s="204" t="s">
        <v>136</v>
      </c>
      <c r="P4" s="204" t="s">
        <v>135</v>
      </c>
      <c r="Q4" s="197" t="s">
        <v>296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290</v>
      </c>
      <c r="F5" s="221"/>
      <c r="G5" s="207"/>
      <c r="H5" s="209"/>
      <c r="I5" s="205"/>
      <c r="J5" s="211"/>
      <c r="K5" s="199"/>
      <c r="L5" s="200"/>
      <c r="M5" s="151" t="s">
        <v>293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6"/>
      <c r="O139" s="196"/>
    </row>
    <row r="140" spans="3:15" ht="15.75">
      <c r="C140" s="120">
        <v>41970</v>
      </c>
      <c r="D140" s="39">
        <v>3541.6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41969</v>
      </c>
      <c r="D141" s="39">
        <v>1246.3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120388.97812999999</v>
      </c>
      <c r="E143" s="80"/>
      <c r="F143" s="100" t="s">
        <v>147</v>
      </c>
      <c r="G143" s="192" t="s">
        <v>149</v>
      </c>
      <c r="H143" s="192"/>
      <c r="I143" s="116">
        <v>111479.24591999999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11457.696189999997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8" sqref="D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282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279</v>
      </c>
      <c r="H4" s="208" t="s">
        <v>280</v>
      </c>
      <c r="I4" s="204" t="s">
        <v>188</v>
      </c>
      <c r="J4" s="210" t="s">
        <v>189</v>
      </c>
      <c r="K4" s="197" t="s">
        <v>285</v>
      </c>
      <c r="L4" s="198"/>
      <c r="M4" s="218"/>
      <c r="N4" s="202" t="s">
        <v>289</v>
      </c>
      <c r="O4" s="204" t="s">
        <v>136</v>
      </c>
      <c r="P4" s="204" t="s">
        <v>135</v>
      </c>
      <c r="Q4" s="197" t="s">
        <v>287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278</v>
      </c>
      <c r="F5" s="221"/>
      <c r="G5" s="207"/>
      <c r="H5" s="209"/>
      <c r="I5" s="205"/>
      <c r="J5" s="211"/>
      <c r="K5" s="199"/>
      <c r="L5" s="200"/>
      <c r="M5" s="151" t="s">
        <v>281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6"/>
      <c r="O139" s="196"/>
    </row>
    <row r="140" spans="3:15" ht="15.75">
      <c r="C140" s="120">
        <v>41942</v>
      </c>
      <c r="D140" s="39">
        <v>4208.5</v>
      </c>
      <c r="F140" s="4" t="s">
        <v>166</v>
      </c>
      <c r="G140" s="192" t="s">
        <v>151</v>
      </c>
      <c r="H140" s="192"/>
      <c r="I140" s="115">
        <v>9020.6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41941</v>
      </c>
      <c r="D141" s="39">
        <v>2987.3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116647.51</v>
      </c>
      <c r="E143" s="80"/>
      <c r="F143" s="100" t="s">
        <v>147</v>
      </c>
      <c r="G143" s="192" t="s">
        <v>149</v>
      </c>
      <c r="H143" s="192"/>
      <c r="I143" s="116">
        <v>107626.91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16930.7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272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269</v>
      </c>
      <c r="H4" s="208" t="s">
        <v>270</v>
      </c>
      <c r="I4" s="204" t="s">
        <v>188</v>
      </c>
      <c r="J4" s="210" t="s">
        <v>189</v>
      </c>
      <c r="K4" s="197" t="s">
        <v>274</v>
      </c>
      <c r="L4" s="198"/>
      <c r="M4" s="218"/>
      <c r="N4" s="202" t="s">
        <v>277</v>
      </c>
      <c r="O4" s="204" t="s">
        <v>136</v>
      </c>
      <c r="P4" s="204" t="s">
        <v>135</v>
      </c>
      <c r="Q4" s="197" t="s">
        <v>275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268</v>
      </c>
      <c r="F5" s="221"/>
      <c r="G5" s="207"/>
      <c r="H5" s="209"/>
      <c r="I5" s="205"/>
      <c r="J5" s="211"/>
      <c r="K5" s="199"/>
      <c r="L5" s="200"/>
      <c r="M5" s="151" t="s">
        <v>271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6"/>
      <c r="O139" s="196"/>
    </row>
    <row r="140" spans="3:15" ht="15.75">
      <c r="C140" s="120">
        <v>41911</v>
      </c>
      <c r="D140" s="39">
        <v>4937.4</v>
      </c>
      <c r="F140" s="4" t="s">
        <v>166</v>
      </c>
      <c r="G140" s="192" t="s">
        <v>151</v>
      </c>
      <c r="H140" s="192"/>
      <c r="I140" s="115">
        <f>9020596.53/1000</f>
        <v>9020.596529999999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41908</v>
      </c>
      <c r="D141" s="39">
        <v>1468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121201109.21/1000</f>
        <v>121201.10921</v>
      </c>
      <c r="E143" s="80"/>
      <c r="F143" s="100" t="s">
        <v>147</v>
      </c>
      <c r="G143" s="192" t="s">
        <v>149</v>
      </c>
      <c r="H143" s="192"/>
      <c r="I143" s="116">
        <f>112180512.68/1000</f>
        <v>112180.51268000001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17426016.57/1000</f>
        <v>17426.01657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261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259</v>
      </c>
      <c r="H4" s="208" t="s">
        <v>260</v>
      </c>
      <c r="I4" s="204" t="s">
        <v>188</v>
      </c>
      <c r="J4" s="210" t="s">
        <v>189</v>
      </c>
      <c r="K4" s="197" t="s">
        <v>264</v>
      </c>
      <c r="L4" s="198"/>
      <c r="M4" s="218"/>
      <c r="N4" s="202" t="s">
        <v>267</v>
      </c>
      <c r="O4" s="204" t="s">
        <v>136</v>
      </c>
      <c r="P4" s="204" t="s">
        <v>135</v>
      </c>
      <c r="Q4" s="197" t="s">
        <v>265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258</v>
      </c>
      <c r="F5" s="221"/>
      <c r="G5" s="207"/>
      <c r="H5" s="209"/>
      <c r="I5" s="205"/>
      <c r="J5" s="211"/>
      <c r="K5" s="199"/>
      <c r="L5" s="200"/>
      <c r="M5" s="151" t="s">
        <v>262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6"/>
      <c r="O139" s="196"/>
    </row>
    <row r="140" spans="3:15" ht="15.75">
      <c r="C140" s="120">
        <v>41879</v>
      </c>
      <c r="D140" s="39">
        <v>3653.6</v>
      </c>
      <c r="F140" s="4" t="s">
        <v>166</v>
      </c>
      <c r="G140" s="192" t="s">
        <v>151</v>
      </c>
      <c r="H140" s="192"/>
      <c r="I140" s="115">
        <v>13829.857960000001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41878</v>
      </c>
      <c r="D141" s="39">
        <v>1194.3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127799.14</v>
      </c>
      <c r="E143" s="80"/>
      <c r="F143" s="100" t="s">
        <v>147</v>
      </c>
      <c r="G143" s="192" t="s">
        <v>149</v>
      </c>
      <c r="H143" s="192"/>
      <c r="I143" s="116">
        <v>113969.28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18493.9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252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249</v>
      </c>
      <c r="H4" s="208" t="s">
        <v>250</v>
      </c>
      <c r="I4" s="204" t="s">
        <v>188</v>
      </c>
      <c r="J4" s="210" t="s">
        <v>189</v>
      </c>
      <c r="K4" s="197" t="s">
        <v>254</v>
      </c>
      <c r="L4" s="198"/>
      <c r="M4" s="218"/>
      <c r="N4" s="202" t="s">
        <v>257</v>
      </c>
      <c r="O4" s="204" t="s">
        <v>136</v>
      </c>
      <c r="P4" s="204" t="s">
        <v>135</v>
      </c>
      <c r="Q4" s="197" t="s">
        <v>255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248</v>
      </c>
      <c r="F5" s="221"/>
      <c r="G5" s="207"/>
      <c r="H5" s="209"/>
      <c r="I5" s="205"/>
      <c r="J5" s="211"/>
      <c r="K5" s="199"/>
      <c r="L5" s="200"/>
      <c r="M5" s="151" t="s">
        <v>251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6"/>
      <c r="O139" s="196"/>
    </row>
    <row r="140" spans="3:15" ht="15.75">
      <c r="C140" s="120">
        <v>41850</v>
      </c>
      <c r="D140" s="39">
        <v>4320</v>
      </c>
      <c r="F140" s="4" t="s">
        <v>166</v>
      </c>
      <c r="G140" s="192" t="s">
        <v>151</v>
      </c>
      <c r="H140" s="192"/>
      <c r="I140" s="115">
        <f>13825221.96/1000</f>
        <v>13825.22196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41849</v>
      </c>
      <c r="D141" s="39">
        <v>4403.7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120856761.09/1000</f>
        <v>120856.76109</v>
      </c>
      <c r="E143" s="80"/>
      <c r="F143" s="100" t="s">
        <v>147</v>
      </c>
      <c r="G143" s="192" t="s">
        <v>149</v>
      </c>
      <c r="H143" s="192"/>
      <c r="I143" s="116">
        <f>107031539.13/1000</f>
        <v>107031.53912999999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26199804.73/1000</f>
        <v>26199.80473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243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238</v>
      </c>
      <c r="H4" s="208" t="s">
        <v>239</v>
      </c>
      <c r="I4" s="204" t="s">
        <v>188</v>
      </c>
      <c r="J4" s="210" t="s">
        <v>189</v>
      </c>
      <c r="K4" s="197" t="s">
        <v>240</v>
      </c>
      <c r="L4" s="198"/>
      <c r="M4" s="218"/>
      <c r="N4" s="202" t="s">
        <v>247</v>
      </c>
      <c r="O4" s="204" t="s">
        <v>136</v>
      </c>
      <c r="P4" s="204" t="s">
        <v>135</v>
      </c>
      <c r="Q4" s="197" t="s">
        <v>242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237</v>
      </c>
      <c r="F5" s="221"/>
      <c r="G5" s="207"/>
      <c r="H5" s="209"/>
      <c r="I5" s="205"/>
      <c r="J5" s="211"/>
      <c r="K5" s="199"/>
      <c r="L5" s="200"/>
      <c r="M5" s="151" t="s">
        <v>241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6"/>
      <c r="O139" s="196"/>
    </row>
    <row r="140" spans="3:15" ht="15.75">
      <c r="C140" s="120">
        <v>41816</v>
      </c>
      <c r="D140" s="39">
        <v>4277.2</v>
      </c>
      <c r="F140" s="4" t="s">
        <v>166</v>
      </c>
      <c r="G140" s="192" t="s">
        <v>151</v>
      </c>
      <c r="H140" s="192"/>
      <c r="I140" s="115">
        <f>'[1]залишки  (2)'!$G$9/1000</f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41815</v>
      </c>
      <c r="D141" s="39">
        <v>1877.7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117976.29</v>
      </c>
      <c r="E143" s="80"/>
      <c r="F143" s="100" t="s">
        <v>147</v>
      </c>
      <c r="G143" s="192" t="s">
        <v>149</v>
      </c>
      <c r="H143" s="192"/>
      <c r="I143" s="116">
        <v>104151.07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41386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233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229</v>
      </c>
      <c r="H4" s="208" t="s">
        <v>230</v>
      </c>
      <c r="I4" s="204" t="s">
        <v>188</v>
      </c>
      <c r="J4" s="210" t="s">
        <v>189</v>
      </c>
      <c r="K4" s="197" t="s">
        <v>231</v>
      </c>
      <c r="L4" s="198"/>
      <c r="M4" s="218"/>
      <c r="N4" s="202" t="s">
        <v>236</v>
      </c>
      <c r="O4" s="204" t="s">
        <v>136</v>
      </c>
      <c r="P4" s="204" t="s">
        <v>135</v>
      </c>
      <c r="Q4" s="197" t="s">
        <v>234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228</v>
      </c>
      <c r="F5" s="221"/>
      <c r="G5" s="207"/>
      <c r="H5" s="209"/>
      <c r="I5" s="205"/>
      <c r="J5" s="211"/>
      <c r="K5" s="199"/>
      <c r="L5" s="200"/>
      <c r="M5" s="151" t="s">
        <v>232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6"/>
      <c r="O138" s="196"/>
    </row>
    <row r="139" spans="3:15" ht="15.75">
      <c r="C139" s="120">
        <v>41788</v>
      </c>
      <c r="D139" s="39">
        <v>5993.3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41787</v>
      </c>
      <c r="D140" s="39">
        <v>2595.2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118982.48</v>
      </c>
      <c r="E142" s="80"/>
      <c r="F142" s="100" t="s">
        <v>147</v>
      </c>
      <c r="G142" s="192" t="s">
        <v>149</v>
      </c>
      <c r="H142" s="192"/>
      <c r="I142" s="116">
        <v>105157.26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27359.4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221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217</v>
      </c>
      <c r="H4" s="208" t="s">
        <v>218</v>
      </c>
      <c r="I4" s="204" t="s">
        <v>188</v>
      </c>
      <c r="J4" s="210" t="s">
        <v>189</v>
      </c>
      <c r="K4" s="197" t="s">
        <v>219</v>
      </c>
      <c r="L4" s="198"/>
      <c r="M4" s="218"/>
      <c r="N4" s="202" t="s">
        <v>227</v>
      </c>
      <c r="O4" s="204" t="s">
        <v>136</v>
      </c>
      <c r="P4" s="204" t="s">
        <v>135</v>
      </c>
      <c r="Q4" s="197" t="s">
        <v>222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216</v>
      </c>
      <c r="F5" s="221"/>
      <c r="G5" s="207"/>
      <c r="H5" s="209"/>
      <c r="I5" s="205"/>
      <c r="J5" s="211"/>
      <c r="K5" s="199"/>
      <c r="L5" s="200"/>
      <c r="M5" s="151" t="s">
        <v>220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6"/>
      <c r="O138" s="196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41757</v>
      </c>
      <c r="D140" s="39">
        <v>1923.2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f>'[1]надх'!$B$52/1000</f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2014-12-29T08:56:30Z</cp:lastPrinted>
  <dcterms:created xsi:type="dcterms:W3CDTF">2003-07-28T11:27:56Z</dcterms:created>
  <dcterms:modified xsi:type="dcterms:W3CDTF">2014-12-30T07:21:25Z</dcterms:modified>
  <cp:category/>
  <cp:version/>
  <cp:contentType/>
  <cp:contentStatus/>
</cp:coreProperties>
</file>